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ikekrause/Downloads/"/>
    </mc:Choice>
  </mc:AlternateContent>
  <xr:revisionPtr revIDLastSave="0" documentId="8_{7EF8139B-FEF6-CE4A-9ADA-2E67181E7929}" xr6:coauthVersionLast="47" xr6:coauthVersionMax="47" xr10:uidLastSave="{00000000-0000-0000-0000-000000000000}"/>
  <bookViews>
    <workbookView xWindow="16940" yWindow="2700" windowWidth="34920" windowHeight="23680" xr2:uid="{7A70D2A7-0CA6-48A4-BFC1-D4710AF23A15}"/>
  </bookViews>
  <sheets>
    <sheet name="Pro Shop" sheetId="1" r:id="rId1"/>
    <sheet name="Calculation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B89" i="2"/>
  <c r="C89" i="2" s="1"/>
  <c r="B87" i="2"/>
  <c r="C87" i="2" s="1"/>
  <c r="F3" i="2" l="1"/>
  <c r="B50" i="2" l="1"/>
  <c r="B48" i="2"/>
  <c r="F2" i="2"/>
  <c r="B16" i="1"/>
  <c r="C10" i="2" l="1"/>
  <c r="I2" i="2"/>
  <c r="I3" i="2"/>
  <c r="B21" i="2"/>
  <c r="C21" i="2" s="1"/>
  <c r="C23" i="2"/>
  <c r="C4" i="2"/>
  <c r="C50" i="2" s="1"/>
  <c r="C3" i="2"/>
  <c r="C2" i="2"/>
  <c r="C9" i="2" l="1"/>
  <c r="C13" i="2" s="1"/>
  <c r="C14" i="2" s="1"/>
  <c r="C48" i="2"/>
  <c r="C31" i="2"/>
  <c r="B31" i="2" s="1"/>
  <c r="B22" i="2"/>
  <c r="C22" i="2" s="1"/>
  <c r="F17" i="2"/>
  <c r="C92" i="2" s="1"/>
  <c r="C26" i="2"/>
  <c r="C97" i="2" l="1"/>
  <c r="B97" i="2" s="1"/>
  <c r="B92" i="2"/>
  <c r="B21" i="1"/>
  <c r="C53" i="2"/>
  <c r="B27" i="2"/>
  <c r="B26" i="2"/>
  <c r="B9" i="2"/>
  <c r="C58" i="2" l="1"/>
  <c r="B53" i="2"/>
  <c r="C27" i="2"/>
  <c r="C28" i="2" s="1"/>
  <c r="B13" i="2"/>
  <c r="B14" i="2"/>
  <c r="B58" i="2" l="1"/>
  <c r="B28" i="2"/>
  <c r="B17" i="2"/>
  <c r="B14" i="1" l="1"/>
  <c r="C40" i="2"/>
  <c r="B40" i="2" s="1"/>
  <c r="C32" i="2"/>
  <c r="B32" i="2" l="1"/>
  <c r="F8" i="2" l="1"/>
  <c r="B20" i="1" s="1"/>
  <c r="B33" i="2"/>
  <c r="C33" i="2" s="1"/>
  <c r="C36" i="2" s="1"/>
  <c r="B36" i="2" s="1"/>
  <c r="B39" i="2" s="1"/>
  <c r="B41" i="2" s="1"/>
  <c r="F18" i="2" s="1"/>
  <c r="C43" i="2" l="1"/>
  <c r="B43" i="2" s="1"/>
  <c r="K44" i="2" s="1"/>
  <c r="B22" i="1"/>
  <c r="B49" i="2"/>
  <c r="C49" i="2" s="1"/>
  <c r="C54" i="2" s="1"/>
  <c r="B44" i="2" l="1"/>
  <c r="F11" i="2" s="1"/>
  <c r="D20" i="1" s="1"/>
  <c r="J44" i="2"/>
  <c r="C59" i="2"/>
  <c r="B80" i="2" s="1"/>
  <c r="B54" i="2"/>
  <c r="C55" i="2"/>
  <c r="B55" i="2" s="1"/>
  <c r="B60" i="2" s="1"/>
  <c r="C60" i="2" s="1"/>
  <c r="C80" i="2" l="1"/>
  <c r="C63" i="2"/>
  <c r="C64" i="2" s="1"/>
  <c r="B81" i="2"/>
  <c r="C81" i="2" s="1"/>
  <c r="B59" i="2"/>
  <c r="C65" i="2" l="1"/>
  <c r="B63" i="2"/>
  <c r="B82" i="2"/>
  <c r="F9" i="2" s="1"/>
  <c r="B64" i="2"/>
  <c r="B65" i="2" l="1"/>
  <c r="C68" i="2"/>
  <c r="B68" i="2" l="1"/>
  <c r="D73" i="2"/>
  <c r="C73" i="2" s="1"/>
  <c r="C69" i="2"/>
  <c r="B69" i="2" s="1"/>
  <c r="C70" i="2" l="1"/>
  <c r="D74" i="2" l="1"/>
  <c r="B70" i="2"/>
  <c r="C74" i="2" l="1"/>
  <c r="D75" i="2"/>
  <c r="C75" i="2" s="1"/>
  <c r="F14" i="2" s="1"/>
  <c r="B88" i="2" l="1"/>
  <c r="C88" i="2" s="1"/>
  <c r="C93" i="2" s="1"/>
  <c r="C98" i="2" l="1"/>
  <c r="B98" i="2" s="1"/>
  <c r="B101" i="2"/>
  <c r="B93" i="2"/>
  <c r="B102" i="2"/>
  <c r="C102" i="2" s="1"/>
  <c r="C94" i="2"/>
  <c r="B94" i="2" s="1"/>
  <c r="B99" i="2" s="1"/>
  <c r="C99" i="2" s="1"/>
  <c r="B103" i="2" l="1"/>
  <c r="F15" i="2" s="1"/>
  <c r="C101" i="2"/>
</calcChain>
</file>

<file path=xl/sharedStrings.xml><?xml version="1.0" encoding="utf-8"?>
<sst xmlns="http://schemas.openxmlformats.org/spreadsheetml/2006/main" count="137" uniqueCount="83">
  <si>
    <t>Horizontal</t>
  </si>
  <si>
    <t>Vertical</t>
  </si>
  <si>
    <t>PAP</t>
  </si>
  <si>
    <t>Riser Pin</t>
  </si>
  <si>
    <t>Latitude</t>
  </si>
  <si>
    <t>Longitude</t>
  </si>
  <si>
    <t>Bearing</t>
  </si>
  <si>
    <t>Determine CoG to PAP Distance</t>
  </si>
  <si>
    <t>Apply vertical component</t>
  </si>
  <si>
    <t>Radius</t>
  </si>
  <si>
    <t>Deg</t>
  </si>
  <si>
    <t>Rad</t>
  </si>
  <si>
    <t>Apply horizontal component</t>
  </si>
  <si>
    <t>Pin to PAP</t>
  </si>
  <si>
    <t>Dist.</t>
  </si>
  <si>
    <t>Drilling Angle</t>
  </si>
  <si>
    <t>Determining Dual Angle Layout</t>
  </si>
  <si>
    <t>Dual Angle Conversion</t>
  </si>
  <si>
    <t>Pin-to-PAP</t>
  </si>
  <si>
    <t>VAL Angle</t>
  </si>
  <si>
    <t>Apply drilling angle</t>
  </si>
  <si>
    <t>Layout</t>
  </si>
  <si>
    <t>CoG to PAP</t>
  </si>
  <si>
    <t>Move from riser pin to PAP</t>
  </si>
  <si>
    <t>Bearing from PAP to CoG</t>
  </si>
  <si>
    <t>Determine position of CoG</t>
  </si>
  <si>
    <t>Δ Long</t>
  </si>
  <si>
    <t>Longitude difference is subtracted instead of added because of the direction of change on surface of ball</t>
  </si>
  <si>
    <t>Theta</t>
  </si>
  <si>
    <t>Alpha</t>
  </si>
  <si>
    <t>Beta (VAL)</t>
  </si>
  <si>
    <t>Layout Sum</t>
  </si>
  <si>
    <t>Drilling angle is arbitrary for calculation purposes</t>
  </si>
  <si>
    <t>Drilling Angle 1</t>
  </si>
  <si>
    <t>Drilling Angle 2</t>
  </si>
  <si>
    <t>CG/PSA in line with CoG and Pin/DOT</t>
  </si>
  <si>
    <t>PSA on VAL</t>
  </si>
  <si>
    <t>PSA Long</t>
  </si>
  <si>
    <t>Pin/DOT to CoG</t>
  </si>
  <si>
    <t xml:space="preserve">Horizontal </t>
  </si>
  <si>
    <t>For down vertical PAP coordinates, insert a negative number (example: -1)</t>
  </si>
  <si>
    <t>Input Bowler's PAP</t>
  </si>
  <si>
    <t>Center of Grip (CoG) to PAP Distance</t>
  </si>
  <si>
    <t>CoG-to-PAP</t>
  </si>
  <si>
    <t>Pin-to-CoG (Drop Down)</t>
  </si>
  <si>
    <t xml:space="preserve">Pin-to-PAP </t>
  </si>
  <si>
    <t xml:space="preserve">"CoG-to-PAP" varies based on PAP coordinates. It is the straight line distance between the bowler's Center of Grip (CoG) and their PAP. The sum of "Pin-to-CoG" and "Pin-to-PAP" (Layout Sum) must be greater than the "CoG-to-PAP" value. </t>
  </si>
  <si>
    <t>WARNING: This value must be greater than "CoG-to-PAP" distance</t>
  </si>
  <si>
    <t>CoG to PAP Min Distance</t>
  </si>
  <si>
    <t>Napier's rule 5 for spherical right triangles (Wikipedia)</t>
  </si>
  <si>
    <t>Drilling Angle 3</t>
  </si>
  <si>
    <t>PSA on grip center line</t>
  </si>
  <si>
    <t>Drilling angle for Pin-to-Spin line through CoG</t>
  </si>
  <si>
    <t>Drilling angle for PSA on the VAL</t>
  </si>
  <si>
    <t>Use Pin-to-Spin line through CoG layout to traverse to CoG</t>
  </si>
  <si>
    <t>Determining PSA on Grip Centerline Angle</t>
  </si>
  <si>
    <t>Apply VAL Angle</t>
  </si>
  <si>
    <t>Apply Vertical Axis Distance</t>
  </si>
  <si>
    <t>Apply Horizontal Axis Distance</t>
  </si>
  <si>
    <t>Solve spherical triangle between CoG, PSA, and where CoG line intersects equator</t>
  </si>
  <si>
    <t>CoG to PSA</t>
  </si>
  <si>
    <t>a</t>
  </si>
  <si>
    <t>B</t>
  </si>
  <si>
    <t>CoG Angle</t>
  </si>
  <si>
    <t>b</t>
  </si>
  <si>
    <t>Drilling angle difference for PSA on CoG centerline</t>
  </si>
  <si>
    <t xml:space="preserve">Solve spherical triangle of PAP, </t>
  </si>
  <si>
    <t>Napier's rule X for spherical right triangles (Wikipedia)</t>
  </si>
  <si>
    <t>PSA to VAL distance calculator</t>
  </si>
  <si>
    <t>Bearing 1</t>
  </si>
  <si>
    <t>Distance 1</t>
  </si>
  <si>
    <t>Distance 3</t>
  </si>
  <si>
    <t>Bearing 3</t>
  </si>
  <si>
    <t>dxt = asin( sin(δ13) ⋅ sin(θ13−θ12) ) ⋅ R</t>
  </si>
  <si>
    <t>PSA to VAL</t>
  </si>
  <si>
    <t>Dual Angle Converter</t>
  </si>
  <si>
    <t>Sym or Asym</t>
  </si>
  <si>
    <t>Sym/Asym</t>
  </si>
  <si>
    <t>Sym</t>
  </si>
  <si>
    <t>Asym</t>
  </si>
  <si>
    <t>Asym Drilling Angle</t>
  </si>
  <si>
    <t>Ball Layout</t>
  </si>
  <si>
    <r>
      <t>The drilling angle should be between 15</t>
    </r>
    <r>
      <rPr>
        <sz val="11"/>
        <color theme="0"/>
        <rFont val="Aptos Narrow"/>
        <family val="2"/>
      </rPr>
      <t>°</t>
    </r>
    <r>
      <rPr>
        <sz val="11"/>
        <color theme="0"/>
        <rFont val="Calibri"/>
        <family val="2"/>
        <scheme val="minor"/>
      </rPr>
      <t xml:space="preserve"> and 120</t>
    </r>
    <r>
      <rPr>
        <sz val="11"/>
        <color theme="0"/>
        <rFont val="Aptos Narrow"/>
        <family val="2"/>
      </rPr>
      <t>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</si>
</sst>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0"/>
      </bottom>
      <diagonal/>
    </border>
  </borders>
  <cellStyleXfs count="5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5" fillId="0" borderId="0" applyNumberFormat="0" applyFill="0" applyBorder="0" applyAlignment="0" applyProtection="0"/>
    <xf numFmtId="0" fontId="6" fillId="4" borderId="3" applyNumberFormat="0" applyFont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quotePrefix="1"/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4" borderId="3" xfId="4" applyFont="1"/>
    <xf numFmtId="0" fontId="7" fillId="4" borderId="3" xfId="4" applyFont="1"/>
    <xf numFmtId="1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2" fontId="0" fillId="0" borderId="0" xfId="0" applyNumberFormat="1"/>
    <xf numFmtId="0" fontId="12" fillId="0" borderId="0" xfId="0" applyFont="1"/>
    <xf numFmtId="0" fontId="8" fillId="0" borderId="0" xfId="0" applyFont="1"/>
    <xf numFmtId="0" fontId="0" fillId="0" borderId="0" xfId="0" applyAlignment="1">
      <alignment horizontal="left" vertical="center"/>
    </xf>
    <xf numFmtId="0" fontId="11" fillId="6" borderId="0" xfId="0" applyFont="1" applyFill="1"/>
    <xf numFmtId="0" fontId="12" fillId="6" borderId="0" xfId="0" applyFont="1" applyFill="1"/>
    <xf numFmtId="0" fontId="12" fillId="6" borderId="0" xfId="0" applyFont="1" applyFill="1" applyAlignment="1">
      <alignment horizontal="left"/>
    </xf>
    <xf numFmtId="0" fontId="12" fillId="6" borderId="0" xfId="3" applyFont="1" applyFill="1"/>
    <xf numFmtId="0" fontId="0" fillId="6" borderId="0" xfId="0" applyFill="1"/>
    <xf numFmtId="0" fontId="12" fillId="6" borderId="0" xfId="4" applyFont="1" applyFill="1" applyBorder="1" applyAlignment="1"/>
    <xf numFmtId="0" fontId="12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3" fillId="6" borderId="0" xfId="3" applyFont="1" applyFill="1"/>
    <xf numFmtId="0" fontId="13" fillId="6" borderId="0" xfId="0" applyFont="1" applyFill="1" applyAlignment="1">
      <alignment horizontal="left" vertical="center"/>
    </xf>
    <xf numFmtId="0" fontId="13" fillId="6" borderId="0" xfId="0" applyFont="1" applyFill="1"/>
    <xf numFmtId="0" fontId="9" fillId="0" borderId="0" xfId="0" applyFont="1"/>
    <xf numFmtId="13" fontId="10" fillId="7" borderId="4" xfId="1" applyNumberFormat="1" applyFont="1" applyFill="1" applyBorder="1" applyAlignment="1" applyProtection="1">
      <alignment horizontal="center" vertical="center"/>
      <protection locked="0"/>
    </xf>
    <xf numFmtId="13" fontId="10" fillId="5" borderId="4" xfId="1" applyNumberFormat="1" applyFont="1" applyFill="1" applyBorder="1" applyAlignment="1" applyProtection="1">
      <alignment horizontal="center" vertical="center"/>
      <protection hidden="1"/>
    </xf>
    <xf numFmtId="13" fontId="10" fillId="5" borderId="4" xfId="2" applyNumberFormat="1" applyFont="1" applyFill="1" applyBorder="1" applyAlignment="1">
      <alignment horizontal="center" vertical="center"/>
    </xf>
    <xf numFmtId="13" fontId="10" fillId="5" borderId="4" xfId="2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>
      <alignment horizontal="right"/>
    </xf>
    <xf numFmtId="0" fontId="15" fillId="0" borderId="0" xfId="0" applyFont="1" applyAlignment="1">
      <alignment horizontal="right"/>
    </xf>
    <xf numFmtId="1" fontId="15" fillId="0" borderId="0" xfId="0" applyNumberFormat="1" applyFont="1" applyAlignment="1">
      <alignment horizontal="left" vertical="center"/>
    </xf>
    <xf numFmtId="0" fontId="0" fillId="0" borderId="0" xfId="0" quotePrefix="1" applyAlignment="1">
      <alignment horizontal="right"/>
    </xf>
    <xf numFmtId="2" fontId="0" fillId="0" borderId="0" xfId="0" applyNumberFormat="1" applyAlignment="1">
      <alignment horizontal="left"/>
    </xf>
    <xf numFmtId="2" fontId="15" fillId="0" borderId="0" xfId="0" applyNumberFormat="1" applyFont="1" applyAlignment="1">
      <alignment horizontal="left" vertical="center"/>
    </xf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0" fontId="14" fillId="6" borderId="0" xfId="0" applyFont="1" applyFill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</cellXfs>
  <cellStyles count="5">
    <cellStyle name="Input" xfId="1" builtinId="20"/>
    <cellStyle name="Normal" xfId="0" builtinId="0"/>
    <cellStyle name="Note" xfId="4" builtinId="10"/>
    <cellStyle name="Output" xfId="2" builtinId="21"/>
    <cellStyle name="Warning Text" xfId="3" builtinId="11"/>
  </cellStyles>
  <dxfs count="1"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23</xdr:row>
      <xdr:rowOff>127000</xdr:rowOff>
    </xdr:from>
    <xdr:to>
      <xdr:col>5</xdr:col>
      <xdr:colOff>419100</xdr:colOff>
      <xdr:row>29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9857CB-8A4E-09D5-547C-D60C2EE07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6286500"/>
          <a:ext cx="61722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54F0-CE06-4E1B-BF88-B4B306BBCD3D}">
  <sheetPr codeName="Sheet1"/>
  <dimension ref="A1:L37"/>
  <sheetViews>
    <sheetView showGridLines="0" tabSelected="1" zoomScaleNormal="100" zoomScaleSheetLayoutView="130" workbookViewId="0">
      <selection activeCell="B5" sqref="B5"/>
    </sheetView>
  </sheetViews>
  <sheetFormatPr baseColWidth="10" defaultColWidth="8.83203125" defaultRowHeight="15" x14ac:dyDescent="0.2"/>
  <cols>
    <col min="1" max="1" width="33.83203125" customWidth="1"/>
    <col min="2" max="2" width="14.6640625" style="14" customWidth="1"/>
    <col min="3" max="3" width="9.5" customWidth="1"/>
    <col min="4" max="6" width="12.6640625" customWidth="1"/>
    <col min="7" max="7" width="11.83203125" bestFit="1" customWidth="1"/>
  </cols>
  <sheetData>
    <row r="1" spans="1:12" x14ac:dyDescent="0.2">
      <c r="A1" s="39" t="s">
        <v>75</v>
      </c>
      <c r="B1" s="39"/>
      <c r="C1" s="39"/>
      <c r="D1" s="39"/>
      <c r="E1" s="39"/>
      <c r="F1" s="39"/>
    </row>
    <row r="2" spans="1:12" ht="16" thickBot="1" x14ac:dyDescent="0.25">
      <c r="A2" s="40"/>
      <c r="B2" s="40"/>
      <c r="C2" s="40"/>
      <c r="D2" s="40"/>
      <c r="E2" s="40"/>
      <c r="F2" s="40"/>
    </row>
    <row r="3" spans="1:12" ht="22" thickBot="1" x14ac:dyDescent="0.3">
      <c r="A3" s="15" t="s">
        <v>41</v>
      </c>
      <c r="B3" s="21"/>
      <c r="C3" s="16"/>
      <c r="D3" s="16"/>
      <c r="E3" s="16"/>
      <c r="F3" s="16"/>
      <c r="G3" s="12"/>
      <c r="H3" s="12"/>
      <c r="I3" s="12"/>
      <c r="J3" s="13"/>
      <c r="K3" s="13"/>
      <c r="L3" s="13"/>
    </row>
    <row r="4" spans="1:12" ht="22" thickBot="1" x14ac:dyDescent="0.3">
      <c r="A4" s="16" t="s">
        <v>39</v>
      </c>
      <c r="B4" s="27">
        <v>5</v>
      </c>
      <c r="C4" s="16"/>
      <c r="D4" s="41" t="s">
        <v>40</v>
      </c>
      <c r="E4" s="41"/>
      <c r="F4" s="41"/>
      <c r="G4" s="12"/>
      <c r="H4" s="12"/>
      <c r="I4" s="12"/>
      <c r="J4" s="13"/>
      <c r="K4" s="13"/>
      <c r="L4" s="13"/>
    </row>
    <row r="5" spans="1:12" ht="22" thickBot="1" x14ac:dyDescent="0.3">
      <c r="A5" s="16" t="s">
        <v>1</v>
      </c>
      <c r="B5" s="27">
        <v>0</v>
      </c>
      <c r="C5" s="16"/>
      <c r="D5" s="41"/>
      <c r="E5" s="41"/>
      <c r="F5" s="41"/>
      <c r="G5" s="12"/>
      <c r="H5" s="12"/>
      <c r="I5" s="12"/>
      <c r="J5" s="13"/>
      <c r="K5" s="13"/>
      <c r="L5" s="13"/>
    </row>
    <row r="6" spans="1:12" ht="21" x14ac:dyDescent="0.25">
      <c r="A6" s="16"/>
      <c r="B6" s="16"/>
      <c r="C6" s="16"/>
      <c r="D6" s="37"/>
      <c r="E6" s="37"/>
      <c r="F6" s="37"/>
      <c r="G6" s="12"/>
      <c r="H6" s="12"/>
      <c r="I6" s="12"/>
      <c r="J6" s="13"/>
      <c r="K6" s="13"/>
      <c r="L6" s="13"/>
    </row>
    <row r="7" spans="1:12" ht="22" thickBot="1" x14ac:dyDescent="0.3">
      <c r="A7" s="15" t="s">
        <v>81</v>
      </c>
      <c r="B7" s="21"/>
      <c r="C7" s="16"/>
      <c r="D7" s="16"/>
      <c r="E7" s="16"/>
      <c r="F7" s="16"/>
      <c r="G7" s="12"/>
      <c r="H7" s="12"/>
      <c r="I7" s="12"/>
      <c r="J7" s="13"/>
      <c r="K7" s="13"/>
      <c r="L7" s="13"/>
    </row>
    <row r="8" spans="1:12" ht="22" thickBot="1" x14ac:dyDescent="0.3">
      <c r="A8" s="17" t="s">
        <v>76</v>
      </c>
      <c r="B8" s="27" t="s">
        <v>79</v>
      </c>
      <c r="C8" s="25"/>
      <c r="D8" s="41" t="str">
        <f>IF(B8="Sym","Drilling angle places CoG on Pin-to-CG line","Enter desired drilling angle")</f>
        <v>Enter desired drilling angle</v>
      </c>
      <c r="E8" s="41"/>
      <c r="F8" s="41"/>
      <c r="G8" s="12"/>
      <c r="H8" s="12"/>
      <c r="I8" s="12"/>
      <c r="J8" s="13"/>
      <c r="K8" s="13"/>
      <c r="L8" s="13"/>
    </row>
    <row r="9" spans="1:12" ht="21.75" customHeight="1" thickBot="1" x14ac:dyDescent="0.3">
      <c r="A9" s="17" t="s">
        <v>80</v>
      </c>
      <c r="B9" s="27">
        <v>60</v>
      </c>
      <c r="C9" s="25"/>
      <c r="D9" s="41" t="s">
        <v>82</v>
      </c>
      <c r="E9" s="41"/>
      <c r="F9" s="41"/>
      <c r="G9" s="12"/>
      <c r="H9" s="12"/>
      <c r="I9" s="12"/>
      <c r="J9" s="13"/>
      <c r="K9" s="13"/>
      <c r="L9" s="13"/>
    </row>
    <row r="10" spans="1:12" ht="22" thickBot="1" x14ac:dyDescent="0.3">
      <c r="A10" s="16" t="s">
        <v>45</v>
      </c>
      <c r="B10" s="27">
        <v>4.5</v>
      </c>
      <c r="C10" s="16"/>
      <c r="D10" s="41"/>
      <c r="E10" s="41"/>
      <c r="F10" s="41"/>
      <c r="G10" s="12"/>
      <c r="H10" s="12"/>
      <c r="I10" s="12"/>
      <c r="J10" s="13"/>
      <c r="K10" s="13"/>
      <c r="L10" s="13"/>
    </row>
    <row r="11" spans="1:12" ht="22" thickBot="1" x14ac:dyDescent="0.3">
      <c r="A11" s="16" t="s">
        <v>44</v>
      </c>
      <c r="B11" s="27">
        <v>4</v>
      </c>
      <c r="C11" s="16"/>
      <c r="D11" s="38"/>
      <c r="E11" s="38"/>
      <c r="F11" s="38"/>
      <c r="G11" s="12"/>
      <c r="H11" s="12"/>
      <c r="I11" s="12"/>
      <c r="J11" s="13"/>
      <c r="K11" s="13"/>
      <c r="L11" s="13"/>
    </row>
    <row r="12" spans="1:12" ht="21" customHeight="1" x14ac:dyDescent="0.25">
      <c r="A12" s="16"/>
      <c r="B12" s="21"/>
      <c r="C12" s="16"/>
      <c r="D12" s="38"/>
      <c r="E12" s="38"/>
      <c r="F12" s="38"/>
      <c r="G12" s="12"/>
      <c r="H12" s="12"/>
      <c r="I12" s="12"/>
      <c r="J12" s="13"/>
      <c r="K12" s="13"/>
      <c r="L12" s="13"/>
    </row>
    <row r="13" spans="1:12" ht="22" thickBot="1" x14ac:dyDescent="0.3">
      <c r="A13" s="15" t="s">
        <v>42</v>
      </c>
      <c r="B13" s="21"/>
      <c r="C13" s="16"/>
      <c r="D13" s="41" t="s">
        <v>46</v>
      </c>
      <c r="E13" s="41"/>
      <c r="F13" s="41"/>
      <c r="G13" s="12"/>
      <c r="H13" s="12"/>
      <c r="I13" s="12"/>
      <c r="J13" s="13"/>
      <c r="K13" s="13"/>
      <c r="L13" s="13"/>
    </row>
    <row r="14" spans="1:12" ht="22" thickBot="1" x14ac:dyDescent="0.3">
      <c r="A14" s="16" t="s">
        <v>43</v>
      </c>
      <c r="B14" s="28">
        <f>CEILING(Calculations!B17,0.125)</f>
        <v>5</v>
      </c>
      <c r="C14" s="16"/>
      <c r="D14" s="41"/>
      <c r="E14" s="41"/>
      <c r="F14" s="41"/>
      <c r="G14" s="12"/>
      <c r="H14" s="12"/>
      <c r="I14" s="12"/>
      <c r="J14" s="13"/>
      <c r="K14" s="13"/>
      <c r="L14" s="13"/>
    </row>
    <row r="15" spans="1:12" ht="21.5" customHeight="1" thickBot="1" x14ac:dyDescent="0.3">
      <c r="A15" s="16"/>
      <c r="B15" s="21"/>
      <c r="C15" s="16"/>
      <c r="D15" s="41"/>
      <c r="E15" s="41"/>
      <c r="F15" s="41"/>
      <c r="G15" s="12"/>
      <c r="H15" s="12"/>
      <c r="I15" s="12"/>
      <c r="J15" s="13"/>
      <c r="K15" s="13"/>
      <c r="L15" s="13"/>
    </row>
    <row r="16" spans="1:12" ht="21.5" customHeight="1" thickBot="1" x14ac:dyDescent="0.3">
      <c r="A16" s="17" t="s">
        <v>31</v>
      </c>
      <c r="B16" s="29">
        <f>B11+B10</f>
        <v>8.5</v>
      </c>
      <c r="C16" s="19"/>
      <c r="D16" s="41"/>
      <c r="E16" s="41"/>
      <c r="F16" s="41"/>
      <c r="G16" s="12"/>
      <c r="H16" s="12"/>
      <c r="I16" s="12"/>
      <c r="J16" s="13"/>
      <c r="K16" s="13"/>
      <c r="L16" s="13"/>
    </row>
    <row r="17" spans="1:12" ht="21" x14ac:dyDescent="0.25">
      <c r="A17" s="23" t="s">
        <v>47</v>
      </c>
      <c r="B17" s="24"/>
      <c r="C17" s="25"/>
      <c r="D17" s="25"/>
      <c r="E17" s="25"/>
      <c r="F17" s="16"/>
      <c r="G17" s="12"/>
      <c r="H17" s="12"/>
      <c r="I17" s="12"/>
      <c r="J17" s="13"/>
      <c r="K17" s="13"/>
      <c r="L17" s="13"/>
    </row>
    <row r="18" spans="1:12" ht="21" x14ac:dyDescent="0.25">
      <c r="A18" s="18"/>
      <c r="B18" s="21"/>
      <c r="C18" s="16"/>
      <c r="D18" s="16"/>
      <c r="E18" s="16"/>
      <c r="F18" s="16"/>
      <c r="G18" s="12"/>
      <c r="H18" s="12"/>
      <c r="I18" s="12"/>
      <c r="J18" s="13"/>
      <c r="K18" s="13"/>
      <c r="L18" s="13"/>
    </row>
    <row r="19" spans="1:12" ht="22" thickBot="1" x14ac:dyDescent="0.3">
      <c r="A19" s="15" t="s">
        <v>17</v>
      </c>
      <c r="B19" s="21"/>
      <c r="C19" s="16"/>
      <c r="D19" s="16"/>
      <c r="E19" s="16"/>
      <c r="F19" s="16"/>
      <c r="G19" s="12"/>
      <c r="H19" s="12"/>
      <c r="I19" s="12"/>
      <c r="J19" s="13"/>
      <c r="K19" s="13"/>
      <c r="L19" s="13"/>
    </row>
    <row r="20" spans="1:12" ht="22" thickBot="1" x14ac:dyDescent="0.3">
      <c r="A20" s="16" t="s">
        <v>15</v>
      </c>
      <c r="B20" s="30">
        <f>IF(B8="Asym",B9,ROUND(Calculations!F8,0))</f>
        <v>60</v>
      </c>
      <c r="C20" s="20"/>
      <c r="D20" s="41" t="str">
        <f>IF(AND(B20&lt;ROUND(Calculations!F11,0),B8="Asym"),_xlfn.CONCAT("Drilling angle places PSA past the VAL and may negatively impact performance. To avoid this, increase drilling angle to at least ",ROUND(Calculations!F11,0),"°"),"")</f>
        <v/>
      </c>
      <c r="E20" s="41"/>
      <c r="F20" s="41"/>
      <c r="G20" s="12"/>
      <c r="H20" s="12"/>
      <c r="I20" s="12"/>
      <c r="J20" s="13"/>
      <c r="K20" s="13"/>
      <c r="L20" s="13"/>
    </row>
    <row r="21" spans="1:12" ht="22" thickBot="1" x14ac:dyDescent="0.3">
      <c r="A21" s="16" t="s">
        <v>18</v>
      </c>
      <c r="B21" s="30">
        <f>Calculations!F17</f>
        <v>4.5</v>
      </c>
      <c r="C21" s="16"/>
      <c r="D21" s="41"/>
      <c r="E21" s="41"/>
      <c r="F21" s="41"/>
      <c r="G21" s="12"/>
      <c r="H21" s="12"/>
      <c r="I21" s="12"/>
      <c r="J21" s="13"/>
      <c r="K21" s="13"/>
      <c r="L21" s="13"/>
    </row>
    <row r="22" spans="1:12" ht="22" thickBot="1" x14ac:dyDescent="0.3">
      <c r="A22" s="16" t="s">
        <v>19</v>
      </c>
      <c r="B22" s="30">
        <f>ROUND(Calculations!F18,0)</f>
        <v>30</v>
      </c>
      <c r="C22" s="16"/>
      <c r="D22" s="41"/>
      <c r="E22" s="41"/>
      <c r="F22" s="41"/>
      <c r="G22" s="12"/>
      <c r="H22" s="12"/>
      <c r="I22" s="12"/>
      <c r="J22" s="13"/>
      <c r="K22" s="13"/>
      <c r="L22" s="13"/>
    </row>
    <row r="23" spans="1:12" s="26" customFormat="1" ht="21" x14ac:dyDescent="0.25">
      <c r="A23" s="16"/>
      <c r="B23" s="22"/>
      <c r="C23" s="16"/>
      <c r="D23" s="16"/>
      <c r="E23" s="16"/>
      <c r="F23" s="16"/>
    </row>
    <row r="24" spans="1:12" ht="16" x14ac:dyDescent="0.2">
      <c r="A24" s="26"/>
      <c r="B24" s="26"/>
      <c r="C24" s="26"/>
      <c r="D24" s="26"/>
      <c r="E24" s="26"/>
      <c r="F24" s="26"/>
    </row>
    <row r="31" spans="1:12" ht="21" x14ac:dyDescent="0.25">
      <c r="D31" s="32"/>
      <c r="E31" s="33"/>
    </row>
    <row r="32" spans="1:12" ht="21" x14ac:dyDescent="0.25">
      <c r="D32" s="32"/>
      <c r="E32" s="36"/>
    </row>
    <row r="33" spans="4:5" ht="21" x14ac:dyDescent="0.25">
      <c r="D33" s="32"/>
      <c r="E33" s="33"/>
    </row>
    <row r="34" spans="4:5" ht="21" x14ac:dyDescent="0.25">
      <c r="D34" s="32"/>
      <c r="E34" s="33"/>
    </row>
    <row r="36" spans="4:5" ht="21" x14ac:dyDescent="0.25">
      <c r="D36" s="32"/>
      <c r="E36" s="33"/>
    </row>
    <row r="37" spans="4:5" ht="21" x14ac:dyDescent="0.25">
      <c r="D37" s="32"/>
      <c r="E37" s="36"/>
    </row>
  </sheetData>
  <sheetProtection algorithmName="SHA-512" hashValue="PNpGT95vL8L1NPh34XjzdhcIcjjo8D3FpEs2v1UEmOKyranmb9ajrahEzThWUHLn7z54Y3URs/ZrAN4kJPfA8Q==" saltValue="owZBdwccIHJ70UN3PisJQw==" spinCount="100000" sheet="1" selectLockedCells="1"/>
  <mergeCells count="6">
    <mergeCell ref="A1:F2"/>
    <mergeCell ref="D4:F5"/>
    <mergeCell ref="D20:F22"/>
    <mergeCell ref="D8:F8"/>
    <mergeCell ref="D13:F16"/>
    <mergeCell ref="D9:F10"/>
  </mergeCells>
  <conditionalFormatting sqref="A9:B9 D9">
    <cfRule type="expression" dxfId="0" priority="1">
      <formula>$B$8="Sym"</formula>
    </cfRule>
  </conditionalFormatting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97" yWindow="407" count="2">
        <x14:dataValidation type="list" allowBlank="1" showInputMessage="1" showErrorMessage="1" xr:uid="{6BD8D827-8C14-4DF8-9EB4-16B9A9F2DF72}">
          <x14:formula1>
            <xm:f>Calculations!$M$9:$M$19</xm:f>
          </x14:formula1>
          <xm:sqref>B11</xm:sqref>
        </x14:dataValidation>
        <x14:dataValidation type="list" allowBlank="1" showInputMessage="1" showErrorMessage="1" xr:uid="{4CA73BBD-3FD7-4F64-99F2-583B97B48F8C}">
          <x14:formula1>
            <xm:f>Calculations!$O$9:$O$10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DCE32-6150-4471-8907-434FEC4FCDAE}">
  <sheetPr codeName="Sheet2"/>
  <dimension ref="A1:AA103"/>
  <sheetViews>
    <sheetView workbookViewId="0">
      <selection activeCell="I1" sqref="I1"/>
    </sheetView>
  </sheetViews>
  <sheetFormatPr baseColWidth="10" defaultColWidth="10.6640625" defaultRowHeight="15" x14ac:dyDescent="0.2"/>
  <cols>
    <col min="1" max="1" width="10.6640625" customWidth="1"/>
    <col min="2" max="3" width="10.6640625" style="4" customWidth="1"/>
    <col min="4" max="15" width="10.6640625" customWidth="1"/>
  </cols>
  <sheetData>
    <row r="1" spans="1:15" x14ac:dyDescent="0.2">
      <c r="A1" s="1" t="s">
        <v>3</v>
      </c>
      <c r="B1" s="4" t="s">
        <v>10</v>
      </c>
      <c r="C1" s="4" t="s">
        <v>11</v>
      </c>
      <c r="E1" s="1" t="s">
        <v>2</v>
      </c>
      <c r="H1" s="5" t="s">
        <v>21</v>
      </c>
      <c r="K1" s="1"/>
    </row>
    <row r="2" spans="1:15" x14ac:dyDescent="0.2">
      <c r="A2" t="s">
        <v>4</v>
      </c>
      <c r="B2" s="4">
        <v>90</v>
      </c>
      <c r="C2" s="4">
        <f>RADIANS(B2)</f>
        <v>1.5707963267948966</v>
      </c>
      <c r="E2" t="s">
        <v>0</v>
      </c>
      <c r="F2">
        <f>'Pro Shop'!B4</f>
        <v>5</v>
      </c>
      <c r="H2" s="6" t="s">
        <v>13</v>
      </c>
      <c r="I2">
        <f>'Pro Shop'!B10</f>
        <v>4.5</v>
      </c>
    </row>
    <row r="3" spans="1:15" x14ac:dyDescent="0.2">
      <c r="A3" t="s">
        <v>5</v>
      </c>
      <c r="B3" s="4">
        <v>0</v>
      </c>
      <c r="C3" s="4">
        <f>RADIANS(B3)</f>
        <v>0</v>
      </c>
      <c r="E3" t="s">
        <v>1</v>
      </c>
      <c r="F3">
        <f>'Pro Shop'!B5</f>
        <v>0</v>
      </c>
      <c r="H3" s="6" t="s">
        <v>22</v>
      </c>
      <c r="I3">
        <f>'Pro Shop'!B11</f>
        <v>4</v>
      </c>
    </row>
    <row r="4" spans="1:15" x14ac:dyDescent="0.2">
      <c r="A4" t="s">
        <v>6</v>
      </c>
      <c r="B4" s="4">
        <v>180</v>
      </c>
      <c r="C4" s="4">
        <f>RADIANS(B4)</f>
        <v>3.1415926535897931</v>
      </c>
      <c r="H4" s="6" t="s">
        <v>15</v>
      </c>
      <c r="I4">
        <v>45</v>
      </c>
      <c r="J4" s="8" t="s">
        <v>32</v>
      </c>
      <c r="K4" s="8"/>
      <c r="L4" s="8"/>
      <c r="M4" s="8"/>
      <c r="N4" s="8"/>
      <c r="O4" s="8"/>
    </row>
    <row r="5" spans="1:15" x14ac:dyDescent="0.2">
      <c r="A5" t="s">
        <v>9</v>
      </c>
      <c r="B5" s="4">
        <v>4.2925000000000004</v>
      </c>
    </row>
    <row r="7" spans="1:15" x14ac:dyDescent="0.2">
      <c r="A7" s="1" t="s">
        <v>7</v>
      </c>
    </row>
    <row r="8" spans="1:15" x14ac:dyDescent="0.2">
      <c r="A8" t="s">
        <v>8</v>
      </c>
      <c r="E8" s="6" t="s">
        <v>33</v>
      </c>
      <c r="F8" s="10">
        <f>B32</f>
        <v>81.956952000215225</v>
      </c>
      <c r="G8" t="s">
        <v>35</v>
      </c>
      <c r="M8" t="s">
        <v>38</v>
      </c>
      <c r="O8" t="s">
        <v>77</v>
      </c>
    </row>
    <row r="9" spans="1:15" x14ac:dyDescent="0.2">
      <c r="A9" t="s">
        <v>4</v>
      </c>
      <c r="B9" s="4">
        <f>DEGREES(C9)</f>
        <v>90</v>
      </c>
      <c r="C9" s="4">
        <f>ASIN(SIN(C2)*COS(ABS($F$3)/$B$5)+COS(C2)*SIN(ABS($F$3)/$B$5)*COS(C4))</f>
        <v>1.5707963267948966</v>
      </c>
      <c r="E9" t="s">
        <v>74</v>
      </c>
      <c r="F9" s="35">
        <f>ROUND(B82,2)</f>
        <v>4.1399999999999997</v>
      </c>
      <c r="M9" s="11">
        <v>1</v>
      </c>
      <c r="O9" t="s">
        <v>78</v>
      </c>
    </row>
    <row r="10" spans="1:15" x14ac:dyDescent="0.2">
      <c r="A10" t="s">
        <v>5</v>
      </c>
      <c r="B10" s="4">
        <v>0</v>
      </c>
      <c r="C10" s="4">
        <f>RADIANS(B10)</f>
        <v>0</v>
      </c>
      <c r="M10" s="11">
        <v>1.5</v>
      </c>
      <c r="O10" t="s">
        <v>79</v>
      </c>
    </row>
    <row r="11" spans="1:15" x14ac:dyDescent="0.2">
      <c r="E11" s="6" t="s">
        <v>34</v>
      </c>
      <c r="F11" s="10">
        <f>B44</f>
        <v>16.133160824610151</v>
      </c>
      <c r="G11" t="s">
        <v>36</v>
      </c>
      <c r="M11" s="11">
        <v>2</v>
      </c>
    </row>
    <row r="12" spans="1:15" x14ac:dyDescent="0.2">
      <c r="A12" t="s">
        <v>12</v>
      </c>
      <c r="E12" t="s">
        <v>74</v>
      </c>
      <c r="F12" s="35">
        <v>0</v>
      </c>
      <c r="M12" s="11">
        <v>2.5</v>
      </c>
    </row>
    <row r="13" spans="1:15" x14ac:dyDescent="0.2">
      <c r="A13" t="s">
        <v>4</v>
      </c>
      <c r="B13" s="4">
        <f>DEGREES(C13)</f>
        <v>23.260594626578548</v>
      </c>
      <c r="C13" s="4">
        <f>ASIN(SIN(C9)*COS($F$2/$B$5)+COS(C9)*SIN($F$2/$B$5)*COS(C4+RADIANS(90)))</f>
        <v>0.40597396220549659</v>
      </c>
      <c r="M13" s="11">
        <v>3</v>
      </c>
    </row>
    <row r="14" spans="1:15" x14ac:dyDescent="0.2">
      <c r="A14" t="s">
        <v>5</v>
      </c>
      <c r="B14" s="4">
        <f>DEGREES(C14)</f>
        <v>270</v>
      </c>
      <c r="C14" s="4">
        <f>MOD(C10+ATAN2(COS($F$2/$B$5)-SIN(C9)*SIN(C13),SIN(C4+RADIANS(90))*SIN($F$2/$B$5)*COS(C9)),2*PI())</f>
        <v>4.7123889803846897</v>
      </c>
      <c r="E14" s="6" t="s">
        <v>50</v>
      </c>
      <c r="F14" s="10">
        <f>F8-ABS(C75)</f>
        <v>69.105649764295549</v>
      </c>
      <c r="G14" t="s">
        <v>51</v>
      </c>
      <c r="M14" s="11">
        <v>3.5</v>
      </c>
    </row>
    <row r="15" spans="1:15" x14ac:dyDescent="0.2">
      <c r="E15" t="s">
        <v>74</v>
      </c>
      <c r="F15" s="35">
        <f>ROUND(B103,2)</f>
        <v>3.44</v>
      </c>
      <c r="M15" s="11">
        <v>4</v>
      </c>
    </row>
    <row r="16" spans="1:15" x14ac:dyDescent="0.2">
      <c r="A16" t="s">
        <v>48</v>
      </c>
      <c r="M16" s="11">
        <v>4.5</v>
      </c>
    </row>
    <row r="17" spans="1:13" x14ac:dyDescent="0.2">
      <c r="A17" t="s">
        <v>14</v>
      </c>
      <c r="B17" s="4">
        <f>ACOS(SIN(C2)*SIN(C13)+COS(C2)*COS(C13)*COS(C14-C3))*B5</f>
        <v>5</v>
      </c>
      <c r="E17" s="6" t="s">
        <v>18</v>
      </c>
      <c r="F17" s="9">
        <f>I2</f>
        <v>4.5</v>
      </c>
      <c r="M17" s="11">
        <v>5</v>
      </c>
    </row>
    <row r="18" spans="1:13" x14ac:dyDescent="0.2">
      <c r="E18" s="6" t="s">
        <v>19</v>
      </c>
      <c r="F18" s="10">
        <f>B41</f>
        <v>30.09967140838711</v>
      </c>
      <c r="M18" s="11">
        <v>5.5</v>
      </c>
    </row>
    <row r="19" spans="1:13" x14ac:dyDescent="0.2">
      <c r="A19" s="1" t="s">
        <v>16</v>
      </c>
      <c r="M19" s="11">
        <v>6</v>
      </c>
    </row>
    <row r="20" spans="1:13" x14ac:dyDescent="0.2">
      <c r="A20" t="s">
        <v>20</v>
      </c>
    </row>
    <row r="21" spans="1:13" x14ac:dyDescent="0.2">
      <c r="A21" t="s">
        <v>4</v>
      </c>
      <c r="B21" s="4">
        <f>B2</f>
        <v>90</v>
      </c>
      <c r="C21" s="4">
        <f t="shared" ref="C21:C23" si="0">RADIANS(B21)</f>
        <v>1.5707963267948966</v>
      </c>
    </row>
    <row r="22" spans="1:13" x14ac:dyDescent="0.2">
      <c r="A22" t="s">
        <v>5</v>
      </c>
      <c r="B22" s="4">
        <f>B3+I4</f>
        <v>45</v>
      </c>
      <c r="C22" s="4">
        <f t="shared" si="0"/>
        <v>0.78539816339744828</v>
      </c>
    </row>
    <row r="23" spans="1:13" x14ac:dyDescent="0.2">
      <c r="A23" t="s">
        <v>6</v>
      </c>
      <c r="B23" s="4">
        <v>180</v>
      </c>
      <c r="C23" s="4">
        <f t="shared" si="0"/>
        <v>3.1415926535897931</v>
      </c>
    </row>
    <row r="25" spans="1:13" x14ac:dyDescent="0.2">
      <c r="A25" t="s">
        <v>23</v>
      </c>
    </row>
    <row r="26" spans="1:13" x14ac:dyDescent="0.2">
      <c r="A26" t="s">
        <v>4</v>
      </c>
      <c r="B26" s="4">
        <f>DEGREES(C26)</f>
        <v>29.934535163920682</v>
      </c>
      <c r="C26" s="4">
        <f>ASIN(SIN(C21)*COS(I2/B5)+COS(C21)*SIN(I2/B5)*COS(C23))</f>
        <v>0.52245619866443638</v>
      </c>
    </row>
    <row r="27" spans="1:13" x14ac:dyDescent="0.2">
      <c r="A27" t="s">
        <v>5</v>
      </c>
      <c r="B27" s="4">
        <f>B22</f>
        <v>45</v>
      </c>
      <c r="C27" s="4">
        <f>RADIANS(B27)</f>
        <v>0.78539816339744828</v>
      </c>
    </row>
    <row r="28" spans="1:13" x14ac:dyDescent="0.2">
      <c r="A28" t="s">
        <v>6</v>
      </c>
      <c r="B28" s="4">
        <f>DEGREES(C28)</f>
        <v>180</v>
      </c>
      <c r="C28" s="4">
        <f>MOD(ATAN2(COS(C26)*SIN(C21)-SIN(C26)*COS(C21)*COS(C22-C27), SIN(C22-C27)*COS(C21))+3*PI(),2*PI())</f>
        <v>3.1415926535897931</v>
      </c>
    </row>
    <row r="30" spans="1:13" x14ac:dyDescent="0.2">
      <c r="A30" t="s">
        <v>25</v>
      </c>
    </row>
    <row r="31" spans="1:13" x14ac:dyDescent="0.2">
      <c r="A31" t="s">
        <v>4</v>
      </c>
      <c r="B31" s="4">
        <f>DEGREES(C31)</f>
        <v>36.60847570126284</v>
      </c>
      <c r="C31" s="4">
        <f>ASIN(SIN(C21)*COS(I3/B5)+COS(C21)*SIN(I3/B5)*COS(C23))</f>
        <v>0.63893843512337656</v>
      </c>
    </row>
    <row r="32" spans="1:13" x14ac:dyDescent="0.2">
      <c r="A32" s="2" t="s">
        <v>26</v>
      </c>
      <c r="B32" s="4">
        <f>DEGREES(C32)</f>
        <v>81.956952000215225</v>
      </c>
      <c r="C32" s="4">
        <f>ACOS((COS(B17/B5)-SIN(C26)*SIN(C31))/(COS(C26)*COS(C31)))</f>
        <v>1.430418657302708</v>
      </c>
      <c r="E32" t="s">
        <v>52</v>
      </c>
    </row>
    <row r="33" spans="1:27" x14ac:dyDescent="0.2">
      <c r="A33" s="2" t="s">
        <v>5</v>
      </c>
      <c r="B33" s="4">
        <f>MOD(B27-B32,360)</f>
        <v>323.04304799978479</v>
      </c>
      <c r="C33" s="4">
        <f>RADIANS(B33)</f>
        <v>5.6381648132743267</v>
      </c>
      <c r="E33" s="7" t="s">
        <v>27</v>
      </c>
      <c r="F33" s="7"/>
      <c r="G33" s="7"/>
      <c r="H33" s="7"/>
      <c r="I33" s="7"/>
      <c r="J33" s="7"/>
      <c r="K33" s="7"/>
      <c r="L33" s="7"/>
      <c r="M33" s="7"/>
      <c r="N33" s="7"/>
    </row>
    <row r="35" spans="1:27" x14ac:dyDescent="0.2">
      <c r="A35" t="s">
        <v>24</v>
      </c>
    </row>
    <row r="36" spans="1:27" x14ac:dyDescent="0.2">
      <c r="A36" t="s">
        <v>6</v>
      </c>
      <c r="B36" s="4">
        <f>DEGREES(C36)</f>
        <v>300.09967140838711</v>
      </c>
      <c r="C36" s="4">
        <f>MOD(ATAN2(COS(C26)*SIN(C31)-SIN(C26)*COS(C31)*COS(MOD(C33-C27+2*PI(),2*PI())),SIN(MOD(C33-C27+2*PI(),2*PI()))*COS(C31)), 2*PI())</f>
        <v>5.2377273502294432</v>
      </c>
    </row>
    <row r="38" spans="1:27" x14ac:dyDescent="0.2">
      <c r="A38" t="s">
        <v>66</v>
      </c>
    </row>
    <row r="39" spans="1:27" x14ac:dyDescent="0.2">
      <c r="A39" t="s">
        <v>28</v>
      </c>
      <c r="B39" s="4">
        <f>360-B36</f>
        <v>59.90032859161289</v>
      </c>
    </row>
    <row r="40" spans="1:27" x14ac:dyDescent="0.2">
      <c r="A40" t="s">
        <v>29</v>
      </c>
      <c r="B40" s="4">
        <f>DEGREES(C40)</f>
        <v>90</v>
      </c>
      <c r="C40" s="4">
        <f>ACOS(TAN(F3/B5)/TAN(B17/B5))</f>
        <v>1.5707963267948966</v>
      </c>
      <c r="E40" t="s">
        <v>67</v>
      </c>
    </row>
    <row r="41" spans="1:27" x14ac:dyDescent="0.2">
      <c r="A41" t="s">
        <v>30</v>
      </c>
      <c r="B41" s="4">
        <f>180-B39-B40</f>
        <v>30.09967140838711</v>
      </c>
    </row>
    <row r="42" spans="1:27" x14ac:dyDescent="0.2">
      <c r="AA42" s="3"/>
    </row>
    <row r="43" spans="1:27" x14ac:dyDescent="0.2">
      <c r="A43" t="s">
        <v>37</v>
      </c>
      <c r="B43" s="4">
        <f>DEGREES(C43)</f>
        <v>28.866839175389849</v>
      </c>
      <c r="C43" s="4">
        <f>C27+ATAN(-SIN(C26)*TAN(RADIANS(F18)))</f>
        <v>0.50382138825423772</v>
      </c>
      <c r="E43" t="s">
        <v>49</v>
      </c>
      <c r="F43" s="4"/>
    </row>
    <row r="44" spans="1:27" x14ac:dyDescent="0.2">
      <c r="A44" s="2" t="s">
        <v>26</v>
      </c>
      <c r="B44" s="4">
        <f>B27-B43</f>
        <v>16.133160824610151</v>
      </c>
      <c r="E44" t="s">
        <v>53</v>
      </c>
      <c r="J44">
        <f>IF(B27-B43&lt;0,B27-B43+180,B27-B43)</f>
        <v>16.133160824610151</v>
      </c>
      <c r="K44" s="4">
        <f>MOD(B27-B43,360)</f>
        <v>16.133160824610151</v>
      </c>
    </row>
    <row r="46" spans="1:27" x14ac:dyDescent="0.2">
      <c r="A46" s="1" t="s">
        <v>55</v>
      </c>
      <c r="E46" t="s">
        <v>54</v>
      </c>
    </row>
    <row r="47" spans="1:27" x14ac:dyDescent="0.2">
      <c r="A47" t="s">
        <v>20</v>
      </c>
    </row>
    <row r="48" spans="1:27" x14ac:dyDescent="0.2">
      <c r="A48" t="s">
        <v>4</v>
      </c>
      <c r="B48" s="4">
        <f>B2</f>
        <v>90</v>
      </c>
      <c r="C48" s="4">
        <f t="shared" ref="C48:C50" si="1">C2</f>
        <v>1.5707963267948966</v>
      </c>
    </row>
    <row r="49" spans="1:3" x14ac:dyDescent="0.2">
      <c r="A49" t="s">
        <v>5</v>
      </c>
      <c r="B49" s="4">
        <f>F8</f>
        <v>81.956952000215225</v>
      </c>
      <c r="C49" s="4">
        <f>RADIANS(B49)</f>
        <v>1.430418657302708</v>
      </c>
    </row>
    <row r="50" spans="1:3" x14ac:dyDescent="0.2">
      <c r="A50" t="s">
        <v>6</v>
      </c>
      <c r="B50" s="4">
        <f t="shared" ref="B50" si="2">B4</f>
        <v>180</v>
      </c>
      <c r="C50" s="4">
        <f t="shared" si="1"/>
        <v>3.1415926535897931</v>
      </c>
    </row>
    <row r="52" spans="1:3" x14ac:dyDescent="0.2">
      <c r="A52" t="s">
        <v>23</v>
      </c>
    </row>
    <row r="53" spans="1:3" x14ac:dyDescent="0.2">
      <c r="A53" t="s">
        <v>4</v>
      </c>
      <c r="B53" s="4">
        <f>DEGREES(C53)</f>
        <v>29.934535163920682</v>
      </c>
      <c r="C53" s="4">
        <f>ASIN(SIN(C48)*COS(F17/B5)+COS(C48)*SIN(F17/B5)*COS(C50))</f>
        <v>0.52245619866443638</v>
      </c>
    </row>
    <row r="54" spans="1:3" x14ac:dyDescent="0.2">
      <c r="A54" t="s">
        <v>5</v>
      </c>
      <c r="B54" s="4">
        <f>DEGREES(C54)</f>
        <v>81.956952000215225</v>
      </c>
      <c r="C54" s="4">
        <f>C49</f>
        <v>1.430418657302708</v>
      </c>
    </row>
    <row r="55" spans="1:3" x14ac:dyDescent="0.2">
      <c r="A55" t="s">
        <v>6</v>
      </c>
      <c r="B55" s="4">
        <f>DEGREES(C55)</f>
        <v>180</v>
      </c>
      <c r="C55" s="4">
        <f>MOD(ATAN2(COS(C48)*SIN(C53)-SIN(C48)*COS(C53)*COS(MOD(C54-C49+2*PI(),2*PI())),SIN(MOD(C54-C49+2*PI(),2*PI()))*COS(C53)), 2*PI())</f>
        <v>3.1415926535897931</v>
      </c>
    </row>
    <row r="57" spans="1:3" x14ac:dyDescent="0.2">
      <c r="A57" t="s">
        <v>56</v>
      </c>
    </row>
    <row r="58" spans="1:3" x14ac:dyDescent="0.2">
      <c r="A58" t="s">
        <v>4</v>
      </c>
      <c r="B58" s="4">
        <f>DEGREES(C58)</f>
        <v>29.934535163920682</v>
      </c>
      <c r="C58" s="4">
        <f>C53</f>
        <v>0.52245619866443638</v>
      </c>
    </row>
    <row r="59" spans="1:3" x14ac:dyDescent="0.2">
      <c r="A59" t="s">
        <v>5</v>
      </c>
      <c r="B59" s="4">
        <f>DEGREES(C59)</f>
        <v>81.956952000215225</v>
      </c>
      <c r="C59" s="4">
        <f>C54</f>
        <v>1.430418657302708</v>
      </c>
    </row>
    <row r="60" spans="1:3" x14ac:dyDescent="0.2">
      <c r="A60" t="s">
        <v>6</v>
      </c>
      <c r="B60" s="4">
        <f>B55+F18</f>
        <v>210.09967140838711</v>
      </c>
      <c r="C60" s="4">
        <f>RADIANS(B60)</f>
        <v>3.6669310234345471</v>
      </c>
    </row>
    <row r="62" spans="1:3" x14ac:dyDescent="0.2">
      <c r="A62" t="s">
        <v>57</v>
      </c>
    </row>
    <row r="63" spans="1:3" x14ac:dyDescent="0.2">
      <c r="A63" t="s">
        <v>4</v>
      </c>
      <c r="B63" s="4">
        <f>DEGREES(C63)</f>
        <v>29.934535163920682</v>
      </c>
      <c r="C63" s="4">
        <f>ASIN(SIN(C58)*COS(F3/B5)+COS(C60)*SIN(F3/B5)*COS(C58))</f>
        <v>0.52245619866443638</v>
      </c>
    </row>
    <row r="64" spans="1:3" x14ac:dyDescent="0.2">
      <c r="A64" t="s">
        <v>5</v>
      </c>
      <c r="B64" s="4">
        <f>DEGREES(C64)</f>
        <v>81.956952000215225</v>
      </c>
      <c r="C64" s="4">
        <f>C59+ATAN2(COS(F3/B5)-SIN(C58)*SIN(C63),SIN(C60)*SIN(F3/B5)*COS(C58))</f>
        <v>1.430418657302708</v>
      </c>
    </row>
    <row r="65" spans="1:6" x14ac:dyDescent="0.2">
      <c r="A65" t="s">
        <v>6</v>
      </c>
      <c r="B65" s="4">
        <f>DEGREES(C65)</f>
        <v>210.09967140838711</v>
      </c>
      <c r="C65" s="4">
        <f>IF(F3=0,C60,MOD(ATAN2(COS(C63)*SIN(C58)-SIN(C63)*COS(C58)*COS(MOD(C59-C64+2*PI(),2*PI())),SIN(MOD(C59-C64+2*PI(),2*PI()))*COS(C58))+PI(), 2*PI()))</f>
        <v>3.6669310234345471</v>
      </c>
    </row>
    <row r="67" spans="1:6" x14ac:dyDescent="0.2">
      <c r="A67" t="s">
        <v>58</v>
      </c>
    </row>
    <row r="68" spans="1:6" x14ac:dyDescent="0.2">
      <c r="A68" t="s">
        <v>4</v>
      </c>
      <c r="B68" s="4">
        <f>DEGREES(C68)</f>
        <v>36.608475701262847</v>
      </c>
      <c r="C68" s="4">
        <f>ASIN(SIN(C63)*COS(F2/B5)+COS(IF(F3&lt;0,C65-PI()/2,C65+PI()/2))*SIN(F2/B5)*COS(C63))</f>
        <v>0.63893843512337667</v>
      </c>
    </row>
    <row r="69" spans="1:6" x14ac:dyDescent="0.2">
      <c r="A69" t="s">
        <v>5</v>
      </c>
      <c r="B69" s="4">
        <f>DEGREES(C69)</f>
        <v>0</v>
      </c>
      <c r="C69" s="4">
        <f>MOD(C64+ATAN2(COS(F2/B5)-SIN(C63)*SIN(C68),SIN(IF(F3&lt;0,C65-PI()/2,C65+PI()/2))*SIN(F2/B5)*COS(C63)),2*PI())</f>
        <v>0</v>
      </c>
    </row>
    <row r="70" spans="1:6" x14ac:dyDescent="0.2">
      <c r="A70" t="s">
        <v>6</v>
      </c>
      <c r="B70" s="4">
        <f>DEGREES(C70)</f>
        <v>249.06523152559106</v>
      </c>
      <c r="C70" s="4">
        <f>MOD(ATAN2(COS(C68)*SIN(C63)-SIN(C68)*COS(C63)*COS(MOD(C64-C69+2*PI(),2*PI())),SIN(MOD(C64-C69+2*PI(),2*PI()))*COS(C63))+PI(), 2*PI())</f>
        <v>4.3470083423635435</v>
      </c>
    </row>
    <row r="72" spans="1:6" x14ac:dyDescent="0.2">
      <c r="A72" t="s">
        <v>59</v>
      </c>
    </row>
    <row r="73" spans="1:6" x14ac:dyDescent="0.2">
      <c r="A73" t="s">
        <v>60</v>
      </c>
      <c r="B73" s="31" t="s">
        <v>61</v>
      </c>
      <c r="C73" s="4">
        <f>DEGREES(D73)</f>
        <v>36.608475701262847</v>
      </c>
      <c r="D73" s="4">
        <f>C68</f>
        <v>0.63893843512337667</v>
      </c>
    </row>
    <row r="74" spans="1:6" x14ac:dyDescent="0.2">
      <c r="A74" t="s">
        <v>63</v>
      </c>
      <c r="B74" s="31" t="s">
        <v>62</v>
      </c>
      <c r="C74" s="4">
        <f t="shared" ref="C74:C75" si="3">DEGREES(D74)</f>
        <v>20.934768474408934</v>
      </c>
      <c r="D74" s="4">
        <f>3*PI()/2-C70</f>
        <v>0.36538063802114618</v>
      </c>
    </row>
    <row r="75" spans="1:6" x14ac:dyDescent="0.2">
      <c r="B75" s="31" t="s">
        <v>64</v>
      </c>
      <c r="C75" s="4">
        <f t="shared" si="3"/>
        <v>12.851302235919679</v>
      </c>
      <c r="D75" s="4">
        <f>ATAN(TAN(D74)*SIN(D73))</f>
        <v>0.22429753718570747</v>
      </c>
      <c r="F75" t="s">
        <v>65</v>
      </c>
    </row>
    <row r="78" spans="1:6" x14ac:dyDescent="0.2">
      <c r="A78" s="1" t="s">
        <v>68</v>
      </c>
      <c r="D78" s="3" t="s">
        <v>73</v>
      </c>
    </row>
    <row r="79" spans="1:6" x14ac:dyDescent="0.2">
      <c r="A79" s="1" t="s">
        <v>33</v>
      </c>
    </row>
    <row r="80" spans="1:6" x14ac:dyDescent="0.2">
      <c r="A80" t="s">
        <v>70</v>
      </c>
      <c r="B80" s="4">
        <f>ACOS(SIN($C$58)*SIN(0)+COS($C$58)*COS(0)*COS(0-$C$59))</f>
        <v>1.4492456391874411</v>
      </c>
      <c r="C80" s="4">
        <f>B80*B5</f>
        <v>6.2208869062120913</v>
      </c>
    </row>
    <row r="81" spans="1:5" x14ac:dyDescent="0.2">
      <c r="A81" t="s">
        <v>69</v>
      </c>
      <c r="B81" s="4">
        <f>MOD(ATAN2(COS($C$58)*SIN(0)-SIN($C$58)*COS(0)*COS(0-$C$59),SIN(0-$C$59)*COS(0))+2*PI(),2*PI())</f>
        <v>4.6419918287794442</v>
      </c>
      <c r="C81" s="4">
        <f>DEGREES(B81)</f>
        <v>265.96654032327683</v>
      </c>
      <c r="D81" s="34"/>
    </row>
    <row r="82" spans="1:5" x14ac:dyDescent="0.2">
      <c r="A82" t="s">
        <v>74</v>
      </c>
      <c r="B82" s="4">
        <f>ASIN(SIN(B80)*SIN(B81-$C$60))*$B$5</f>
        <v>4.1390972622716209</v>
      </c>
      <c r="D82" s="34"/>
    </row>
    <row r="83" spans="1:5" x14ac:dyDescent="0.2">
      <c r="D83" s="34"/>
      <c r="E83" s="4"/>
    </row>
    <row r="85" spans="1:5" x14ac:dyDescent="0.2">
      <c r="A85" s="1" t="s">
        <v>50</v>
      </c>
    </row>
    <row r="86" spans="1:5" x14ac:dyDescent="0.2">
      <c r="A86" t="s">
        <v>20</v>
      </c>
    </row>
    <row r="87" spans="1:5" x14ac:dyDescent="0.2">
      <c r="A87" t="s">
        <v>4</v>
      </c>
      <c r="B87" s="4">
        <f>90</f>
        <v>90</v>
      </c>
      <c r="C87" s="4">
        <f>RADIANS(B87)</f>
        <v>1.5707963267948966</v>
      </c>
    </row>
    <row r="88" spans="1:5" x14ac:dyDescent="0.2">
      <c r="A88" t="s">
        <v>5</v>
      </c>
      <c r="B88" s="4">
        <f>F14</f>
        <v>69.105649764295549</v>
      </c>
      <c r="C88" s="4">
        <f t="shared" ref="C88:C89" si="4">RADIANS(B88)</f>
        <v>1.2061211201170006</v>
      </c>
    </row>
    <row r="89" spans="1:5" x14ac:dyDescent="0.2">
      <c r="A89" t="s">
        <v>6</v>
      </c>
      <c r="B89" s="4">
        <f>180</f>
        <v>180</v>
      </c>
      <c r="C89" s="4">
        <f t="shared" si="4"/>
        <v>3.1415926535897931</v>
      </c>
    </row>
    <row r="91" spans="1:5" x14ac:dyDescent="0.2">
      <c r="A91" t="s">
        <v>23</v>
      </c>
    </row>
    <row r="92" spans="1:5" x14ac:dyDescent="0.2">
      <c r="A92" t="s">
        <v>4</v>
      </c>
      <c r="B92" s="4">
        <f>DEGREES(C92)</f>
        <v>29.934535163920682</v>
      </c>
      <c r="C92" s="4">
        <f>ASIN(SIN(C87)*COS(F17/B5)+COS(C87)*SIN(F17/B5)*COS(C89))</f>
        <v>0.52245619866443638</v>
      </c>
    </row>
    <row r="93" spans="1:5" x14ac:dyDescent="0.2">
      <c r="A93" t="s">
        <v>5</v>
      </c>
      <c r="B93" s="4">
        <f>DEGREES(C93)</f>
        <v>69.105649764295549</v>
      </c>
      <c r="C93" s="4">
        <f>C88</f>
        <v>1.2061211201170006</v>
      </c>
    </row>
    <row r="94" spans="1:5" x14ac:dyDescent="0.2">
      <c r="A94" t="s">
        <v>6</v>
      </c>
      <c r="B94" s="4">
        <f>DEGREES(C94)</f>
        <v>180</v>
      </c>
      <c r="C94" s="4">
        <f>MOD(ATAN2(COS(C87)*SIN(C92)-SIN(C87)*COS(C92)*COS(MOD(C93-C88+2*PI(),2*PI())),SIN(MOD(C93-C88+2*PI(),2*PI()))*COS(C92)), 2*PI())</f>
        <v>3.1415926535897931</v>
      </c>
    </row>
    <row r="96" spans="1:5" x14ac:dyDescent="0.2">
      <c r="A96" t="s">
        <v>56</v>
      </c>
    </row>
    <row r="97" spans="1:3" x14ac:dyDescent="0.2">
      <c r="A97" t="s">
        <v>4</v>
      </c>
      <c r="B97" s="4">
        <f>DEGREES(C97)</f>
        <v>29.934535163920682</v>
      </c>
      <c r="C97" s="4">
        <f>C92</f>
        <v>0.52245619866443638</v>
      </c>
    </row>
    <row r="98" spans="1:3" x14ac:dyDescent="0.2">
      <c r="A98" t="s">
        <v>5</v>
      </c>
      <c r="B98" s="4">
        <f>DEGREES(C98)</f>
        <v>69.105649764295549</v>
      </c>
      <c r="C98" s="4">
        <f>C93</f>
        <v>1.2061211201170006</v>
      </c>
    </row>
    <row r="99" spans="1:3" x14ac:dyDescent="0.2">
      <c r="A99" t="s">
        <v>6</v>
      </c>
      <c r="B99" s="4">
        <f>B94+F18</f>
        <v>210.09967140838711</v>
      </c>
      <c r="C99" s="4">
        <f>RADIANS(B99)</f>
        <v>3.6669310234345471</v>
      </c>
    </row>
    <row r="101" spans="1:3" x14ac:dyDescent="0.2">
      <c r="A101" t="s">
        <v>71</v>
      </c>
      <c r="B101" s="4">
        <f>ACOS(SIN($C$92)*SIN(0)+COS($C$92)*COS(0)*COS(0-$C$93))</f>
        <v>1.256583496769929</v>
      </c>
      <c r="C101" s="4">
        <f>B101*B5</f>
        <v>5.3938846598849208</v>
      </c>
    </row>
    <row r="102" spans="1:3" x14ac:dyDescent="0.2">
      <c r="A102" t="s">
        <v>72</v>
      </c>
      <c r="B102" s="4">
        <f>MOD(ATAN2(COS($C$92)*SIN(0)-SIN($C$92)*COS(0)*COS(0-$C$93),SIN(0-$C$93)*COS(0))+2*PI(),2*PI())</f>
        <v>4.5241473202057332</v>
      </c>
      <c r="C102" s="4">
        <f>DEGREES(B102)</f>
        <v>259.21454734320992</v>
      </c>
    </row>
    <row r="103" spans="1:3" x14ac:dyDescent="0.2">
      <c r="A103" t="s">
        <v>74</v>
      </c>
      <c r="B103" s="4">
        <f>ASIN(SIN(B101)*SIN(B102-$C$99))*$B$5</f>
        <v>3.4441931823498022</v>
      </c>
    </row>
  </sheetData>
  <sheetProtection algorithmName="SHA-512" hashValue="xZsS7u9ANe6ebXnabVqwqjx/v+s/ONbDw92p+IvB7tj94EoCrw6Wn6YJzaZpNy917QYon70HprWoQMYa+NuoVw==" saltValue="K29lnqbBpL6zI/aE5EVUjQ==" spinCount="100000" sheet="1" objects="1" scenarios="1" selectLockedCells="1" selectUnlockedCell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 Shop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Koch</dc:creator>
  <cp:lastModifiedBy>Mike Krause</cp:lastModifiedBy>
  <dcterms:created xsi:type="dcterms:W3CDTF">2022-10-19T18:52:26Z</dcterms:created>
  <dcterms:modified xsi:type="dcterms:W3CDTF">2024-11-05T19:26:19Z</dcterms:modified>
</cp:coreProperties>
</file>